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firstnz.sharepoint.com/sites/HB-AgfirstPastoralLtd/Shared Documents/Agprojects/Between the Two Rivers/"/>
    </mc:Choice>
  </mc:AlternateContent>
  <xr:revisionPtr revIDLastSave="304" documentId="8_{AE99D085-1522-4ABE-B532-112D28B9A521}" xr6:coauthVersionLast="47" xr6:coauthVersionMax="47" xr10:uidLastSave="{3C9020D4-B4C9-4936-810C-3DE49BB22573}"/>
  <bookViews>
    <workbookView xWindow="-28920" yWindow="5985" windowWidth="29040" windowHeight="15720" xr2:uid="{7687E996-8CE3-4F3F-8C45-0E521C3A89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B26" i="1"/>
  <c r="F35" i="1"/>
  <c r="E35" i="1"/>
  <c r="D35" i="1"/>
  <c r="B19" i="1"/>
  <c r="C17" i="1"/>
  <c r="D17" i="1" s="1"/>
  <c r="E17" i="1" s="1"/>
  <c r="F17" i="1" s="1"/>
  <c r="G17" i="1" s="1"/>
  <c r="G19" i="1" s="1"/>
  <c r="G26" i="1" s="1"/>
  <c r="D9" i="1"/>
  <c r="E9" i="1" s="1"/>
  <c r="F9" i="1" s="1"/>
  <c r="G9" i="1" s="1"/>
  <c r="C9" i="1"/>
  <c r="C12" i="1" s="1"/>
  <c r="D12" i="1" s="1"/>
  <c r="E12" i="1" s="1"/>
  <c r="F12" i="1" s="1"/>
  <c r="B34" i="1"/>
  <c r="G34" i="1"/>
  <c r="F34" i="1"/>
  <c r="E34" i="1"/>
  <c r="D34" i="1"/>
  <c r="C34" i="1"/>
  <c r="G32" i="1"/>
  <c r="F32" i="1"/>
  <c r="E32" i="1"/>
  <c r="G25" i="1"/>
  <c r="F25" i="1"/>
  <c r="E25" i="1"/>
  <c r="D25" i="1"/>
  <c r="B22" i="1"/>
  <c r="C20" i="1"/>
  <c r="C22" i="1" s="1"/>
  <c r="B14" i="1"/>
  <c r="C11" i="1"/>
  <c r="B11" i="1"/>
  <c r="G8" i="1"/>
  <c r="F8" i="1"/>
  <c r="E8" i="1"/>
  <c r="D8" i="1"/>
  <c r="C8" i="1"/>
  <c r="B8" i="1"/>
  <c r="B15" i="1" l="1"/>
  <c r="D20" i="1"/>
  <c r="D22" i="1" s="1"/>
  <c r="C14" i="1"/>
  <c r="C15" i="1" s="1"/>
  <c r="H35" i="1"/>
  <c r="H37" i="1" s="1"/>
  <c r="D19" i="1"/>
  <c r="D26" i="1" s="1"/>
  <c r="E19" i="1"/>
  <c r="E26" i="1" s="1"/>
  <c r="F19" i="1"/>
  <c r="F26" i="1" s="1"/>
  <c r="C19" i="1"/>
  <c r="C26" i="1" s="1"/>
  <c r="E11" i="1"/>
  <c r="G11" i="1"/>
  <c r="D11" i="1"/>
  <c r="G12" i="1"/>
  <c r="G14" i="1" s="1"/>
  <c r="F11" i="1"/>
  <c r="D14" i="1"/>
  <c r="E20" i="1"/>
  <c r="E14" i="1"/>
  <c r="G15" i="1" l="1"/>
  <c r="D15" i="1"/>
  <c r="E15" i="1"/>
  <c r="F20" i="1"/>
  <c r="E22" i="1"/>
  <c r="D28" i="1"/>
  <c r="F14" i="1"/>
  <c r="F15" i="1" s="1"/>
  <c r="G20" i="1" l="1"/>
  <c r="G22" i="1" s="1"/>
  <c r="F22" i="1"/>
  <c r="E28" i="1"/>
  <c r="F28" i="1" l="1"/>
  <c r="G28" i="1" l="1"/>
  <c r="B23" i="1"/>
  <c r="B25" i="1" l="1"/>
  <c r="B28" i="1" s="1"/>
  <c r="B36" i="1" s="1"/>
  <c r="C23" i="1"/>
  <c r="C25" i="1" l="1"/>
  <c r="C28" i="1" s="1"/>
  <c r="C36" i="1" s="1"/>
  <c r="D36" i="1" s="1"/>
  <c r="E36" i="1" s="1"/>
  <c r="F36" i="1" s="1"/>
  <c r="G36" i="1" s="1"/>
</calcChain>
</file>

<file path=xl/sharedStrings.xml><?xml version="1.0" encoding="utf-8"?>
<sst xmlns="http://schemas.openxmlformats.org/spreadsheetml/2006/main" count="45" uniqueCount="39">
  <si>
    <t>MA ewes</t>
  </si>
  <si>
    <t>E lambs</t>
  </si>
  <si>
    <t xml:space="preserve">MS Lambs </t>
  </si>
  <si>
    <t xml:space="preserve">2 yr + bulls </t>
  </si>
  <si>
    <t>Req/hd/day</t>
  </si>
  <si>
    <t>Nov</t>
  </si>
  <si>
    <t>Dec</t>
  </si>
  <si>
    <t>Jan</t>
  </si>
  <si>
    <t>Feb</t>
  </si>
  <si>
    <t>Mar</t>
  </si>
  <si>
    <t>Apr</t>
  </si>
  <si>
    <t>May</t>
  </si>
  <si>
    <t xml:space="preserve">Farm Size </t>
  </si>
  <si>
    <t>14 mth Bulls</t>
  </si>
  <si>
    <t>Total demand</t>
  </si>
  <si>
    <t>Total Supply</t>
  </si>
  <si>
    <t xml:space="preserve">Closing cover </t>
  </si>
  <si>
    <t xml:space="preserve">Weaner Bulls </t>
  </si>
  <si>
    <t>Start Cover</t>
  </si>
  <si>
    <t>Use dry numbers</t>
  </si>
  <si>
    <t>Normal Growth</t>
  </si>
  <si>
    <t>Dry year</t>
  </si>
  <si>
    <t xml:space="preserve">Sell MS lambs period </t>
  </si>
  <si>
    <t xml:space="preserve">Sell surplus e lambs in </t>
  </si>
  <si>
    <t>minimum e lambs</t>
  </si>
  <si>
    <t>E lamb dd</t>
  </si>
  <si>
    <t>MS Lamb  dd</t>
  </si>
  <si>
    <t>R1 Bull dd</t>
  </si>
  <si>
    <t>Weaner bull dd</t>
  </si>
  <si>
    <t>2+ yr Bull dd</t>
  </si>
  <si>
    <t xml:space="preserve">Buy month for Weaner bulls </t>
  </si>
  <si>
    <t>no</t>
  </si>
  <si>
    <t>ha</t>
  </si>
  <si>
    <t>MA ewe dd kgs/mth</t>
  </si>
  <si>
    <t>Supplement - Tonnes</t>
  </si>
  <si>
    <t>cost feed/ kg</t>
  </si>
  <si>
    <t xml:space="preserve">Feed supplement </t>
  </si>
  <si>
    <t>Total Sheep demand/ mth</t>
  </si>
  <si>
    <t>Total Cattle Demand/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</si>
</sst>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8F7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EF0C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2" xfId="0" applyBorder="1"/>
    <xf numFmtId="0" fontId="0" fillId="3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0" borderId="3" xfId="0" applyBorder="1"/>
    <xf numFmtId="0" fontId="0" fillId="7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1" fillId="3" borderId="8" xfId="0" applyFont="1" applyFill="1" applyBorder="1"/>
    <xf numFmtId="0" fontId="0" fillId="3" borderId="0" xfId="0" applyFill="1" applyBorder="1"/>
    <xf numFmtId="0" fontId="0" fillId="3" borderId="8" xfId="0" applyFill="1" applyBorder="1"/>
    <xf numFmtId="0" fontId="1" fillId="0" borderId="8" xfId="0" applyFont="1" applyBorder="1"/>
    <xf numFmtId="0" fontId="1" fillId="4" borderId="8" xfId="0" applyFont="1" applyFill="1" applyBorder="1"/>
    <xf numFmtId="0" fontId="0" fillId="5" borderId="8" xfId="0" applyFill="1" applyBorder="1"/>
    <xf numFmtId="0" fontId="0" fillId="5" borderId="0" xfId="0" applyFill="1" applyBorder="1"/>
    <xf numFmtId="0" fontId="0" fillId="6" borderId="8" xfId="0" applyFill="1" applyBorder="1"/>
    <xf numFmtId="0" fontId="0" fillId="6" borderId="0" xfId="0" applyFill="1" applyBorder="1"/>
    <xf numFmtId="0" fontId="0" fillId="0" borderId="10" xfId="0" applyBorder="1"/>
    <xf numFmtId="1" fontId="0" fillId="0" borderId="11" xfId="0" applyNumberFormat="1" applyBorder="1"/>
    <xf numFmtId="1" fontId="0" fillId="0" borderId="12" xfId="0" applyNumberFormat="1" applyBorder="1"/>
    <xf numFmtId="0" fontId="0" fillId="0" borderId="13" xfId="0" applyBorder="1"/>
    <xf numFmtId="0" fontId="0" fillId="0" borderId="11" xfId="0" applyBorder="1"/>
    <xf numFmtId="0" fontId="0" fillId="0" borderId="12" xfId="0" applyBorder="1"/>
    <xf numFmtId="0" fontId="1" fillId="3" borderId="2" xfId="0" applyFont="1" applyFill="1" applyBorder="1"/>
    <xf numFmtId="0" fontId="1" fillId="3" borderId="0" xfId="0" applyFont="1" applyFill="1" applyBorder="1"/>
    <xf numFmtId="0" fontId="1" fillId="0" borderId="0" xfId="0" applyFont="1" applyBorder="1"/>
    <xf numFmtId="0" fontId="1" fillId="0" borderId="2" xfId="0" applyFont="1" applyBorder="1"/>
    <xf numFmtId="1" fontId="1" fillId="3" borderId="2" xfId="0" applyNumberFormat="1" applyFont="1" applyFill="1" applyBorder="1"/>
    <xf numFmtId="1" fontId="1" fillId="3" borderId="0" xfId="0" applyNumberFormat="1" applyFont="1" applyFill="1" applyBorder="1"/>
    <xf numFmtId="1" fontId="1" fillId="0" borderId="2" xfId="0" applyNumberFormat="1" applyFont="1" applyBorder="1"/>
    <xf numFmtId="1" fontId="1" fillId="0" borderId="0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7" borderId="1" xfId="0" applyFill="1" applyBorder="1"/>
    <xf numFmtId="3" fontId="0" fillId="3" borderId="2" xfId="0" applyNumberFormat="1" applyFill="1" applyBorder="1"/>
    <xf numFmtId="3" fontId="0" fillId="3" borderId="0" xfId="0" applyNumberFormat="1" applyFill="1" applyBorder="1"/>
    <xf numFmtId="3" fontId="0" fillId="0" borderId="2" xfId="0" applyNumberFormat="1" applyBorder="1"/>
    <xf numFmtId="3" fontId="0" fillId="0" borderId="0" xfId="0" applyNumberFormat="1" applyBorder="1"/>
    <xf numFmtId="42" fontId="0" fillId="0" borderId="0" xfId="0" applyNumberFormat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4" borderId="17" xfId="0" applyNumberFormat="1" applyFont="1" applyFill="1" applyBorder="1"/>
    <xf numFmtId="3" fontId="1" fillId="4" borderId="18" xfId="0" applyNumberFormat="1" applyFont="1" applyFill="1" applyBorder="1"/>
    <xf numFmtId="3" fontId="1" fillId="0" borderId="17" xfId="0" applyNumberFormat="1" applyFont="1" applyBorder="1"/>
    <xf numFmtId="3" fontId="1" fillId="0" borderId="1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F0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17263209582097"/>
          <c:y val="0.1728263624841572"/>
          <c:w val="0.83516218601850711"/>
          <c:h val="0.6947616338832171"/>
        </c:manualLayout>
      </c:layout>
      <c:lineChart>
        <c:grouping val="standard"/>
        <c:varyColors val="0"/>
        <c:ser>
          <c:idx val="0"/>
          <c:order val="0"/>
          <c:tx>
            <c:v>Sheep demand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Sheet1!$B$2:$G$2</c:f>
              <c:strCache>
                <c:ptCount val="6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</c:strCache>
            </c:strRef>
          </c:cat>
          <c:val>
            <c:numRef>
              <c:f>Sheet1!$B$15:$G$15</c:f>
              <c:numCache>
                <c:formatCode>#,##0</c:formatCode>
                <c:ptCount val="6"/>
                <c:pt idx="0">
                  <c:v>180000</c:v>
                </c:pt>
                <c:pt idx="1">
                  <c:v>210800</c:v>
                </c:pt>
                <c:pt idx="2">
                  <c:v>153605</c:v>
                </c:pt>
                <c:pt idx="3">
                  <c:v>116760</c:v>
                </c:pt>
                <c:pt idx="4">
                  <c:v>146785</c:v>
                </c:pt>
                <c:pt idx="5">
                  <c:v>124800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3-41D9-AB5F-E0BB576C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3911551"/>
        <c:axId val="1893907711"/>
      </c:lineChart>
      <c:catAx>
        <c:axId val="189391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907711"/>
        <c:crosses val="autoZero"/>
        <c:auto val="1"/>
        <c:lblAlgn val="ctr"/>
        <c:lblOffset val="100"/>
        <c:noMultiLvlLbl val="0"/>
      </c:catAx>
      <c:valAx>
        <c:axId val="189390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91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Cattle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Sheet1!$B$26:$G$26</c:f>
              <c:strCache>
                <c:ptCount val="6"/>
                <c:pt idx="0">
                  <c:v>75,373</c:v>
                </c:pt>
                <c:pt idx="1">
                  <c:v>64,029</c:v>
                </c:pt>
                <c:pt idx="2">
                  <c:v>55,521</c:v>
                </c:pt>
                <c:pt idx="3">
                  <c:v>54,667</c:v>
                </c:pt>
                <c:pt idx="4">
                  <c:v>63,042</c:v>
                </c:pt>
                <c:pt idx="5">
                  <c:v>80,020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Sheet1!$B$2:$G$2</c:f>
              <c:strCache>
                <c:ptCount val="6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</c:strCache>
            </c:strRef>
          </c:cat>
          <c:val>
            <c:numRef>
              <c:f>Sheet1!$B$26:$G$26</c:f>
              <c:numCache>
                <c:formatCode>#,##0</c:formatCode>
                <c:ptCount val="6"/>
                <c:pt idx="0">
                  <c:v>75373.332909391873</c:v>
                </c:pt>
                <c:pt idx="1">
                  <c:v>64028.600478466047</c:v>
                </c:pt>
                <c:pt idx="2">
                  <c:v>55520.890879999999</c:v>
                </c:pt>
                <c:pt idx="3">
                  <c:v>54666.723328</c:v>
                </c:pt>
                <c:pt idx="4">
                  <c:v>63041.665341849606</c:v>
                </c:pt>
                <c:pt idx="5">
                  <c:v>80019.998728175618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0-4605-8096-E8E22E16D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868528"/>
        <c:axId val="943869488"/>
      </c:lineChart>
      <c:catAx>
        <c:axId val="94386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869488"/>
        <c:crosses val="autoZero"/>
        <c:auto val="1"/>
        <c:lblAlgn val="ctr"/>
        <c:lblOffset val="100"/>
        <c:noMultiLvlLbl val="0"/>
      </c:catAx>
      <c:valAx>
        <c:axId val="94386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86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Supply and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2"/>
          <c:tx>
            <c:v>Cover</c:v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alpha val="35000"/>
                </a:schemeClr>
              </a:solidFill>
              <a:round/>
            </a:ln>
            <a:effectLst/>
          </c:spPr>
          <c:cat>
            <c:strRef>
              <c:f>Sheet1!$B$2:$G$2</c:f>
              <c:strCache>
                <c:ptCount val="6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</c:strCache>
            </c:strRef>
          </c:cat>
          <c:val>
            <c:numRef>
              <c:f>Sheet1!$B$36:$G$36</c:f>
              <c:numCache>
                <c:formatCode>0</c:formatCode>
                <c:ptCount val="6"/>
                <c:pt idx="0">
                  <c:v>1898.7555569686938</c:v>
                </c:pt>
                <c:pt idx="1">
                  <c:v>1912.6602220404736</c:v>
                </c:pt>
                <c:pt idx="2">
                  <c:v>1990.5739191071402</c:v>
                </c:pt>
                <c:pt idx="3">
                  <c:v>1923.151508013807</c:v>
                </c:pt>
                <c:pt idx="4">
                  <c:v>1905.7292902076415</c:v>
                </c:pt>
                <c:pt idx="5">
                  <c:v>1822.9959611137228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ED-4923-BABA-ABAB8A11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153455"/>
        <c:axId val="759158255"/>
      </c:areaChart>
      <c:lineChart>
        <c:grouping val="standard"/>
        <c:varyColors val="0"/>
        <c:ser>
          <c:idx val="0"/>
          <c:order val="0"/>
          <c:tx>
            <c:strRef>
              <c:f>Sheet1!$A$28</c:f>
              <c:strCache>
                <c:ptCount val="1"/>
                <c:pt idx="0">
                  <c:v>Total demand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Sheet1!$B$2:$G$2</c:f>
              <c:strCache>
                <c:ptCount val="6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</c:strCache>
            </c:strRef>
          </c:cat>
          <c:val>
            <c:numRef>
              <c:f>Sheet1!$B$28:$G$28</c:f>
              <c:numCache>
                <c:formatCode>#,##0</c:formatCode>
                <c:ptCount val="6"/>
                <c:pt idx="0">
                  <c:v>255373.33290939187</c:v>
                </c:pt>
                <c:pt idx="1">
                  <c:v>274828.60047846602</c:v>
                </c:pt>
                <c:pt idx="2">
                  <c:v>209125.89087999999</c:v>
                </c:pt>
                <c:pt idx="3">
                  <c:v>171426.72332799999</c:v>
                </c:pt>
                <c:pt idx="4">
                  <c:v>209826.66534184961</c:v>
                </c:pt>
                <c:pt idx="5">
                  <c:v>204819.99872817562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D-4923-BABA-ABAB8A1172E3}"/>
            </c:ext>
          </c:extLst>
        </c:ser>
        <c:ser>
          <c:idx val="1"/>
          <c:order val="1"/>
          <c:tx>
            <c:strRef>
              <c:f>Sheet1!$A$34</c:f>
              <c:strCache>
                <c:ptCount val="1"/>
                <c:pt idx="0">
                  <c:v>Total Supply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Sheet1!$B$2:$G$2</c:f>
              <c:strCache>
                <c:ptCount val="6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</c:strCache>
            </c:strRef>
          </c:cat>
          <c:val>
            <c:numRef>
              <c:f>Sheet1!$B$34:$G$34</c:f>
              <c:numCache>
                <c:formatCode>#,##0</c:formatCode>
                <c:ptCount val="6"/>
                <c:pt idx="0">
                  <c:v>315000</c:v>
                </c:pt>
                <c:pt idx="1">
                  <c:v>279000</c:v>
                </c:pt>
                <c:pt idx="2">
                  <c:v>232500</c:v>
                </c:pt>
                <c:pt idx="3">
                  <c:v>151200</c:v>
                </c:pt>
                <c:pt idx="4">
                  <c:v>204600</c:v>
                </c:pt>
                <c:pt idx="5">
                  <c:v>180000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D-4923-BABA-ABAB8A11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165455"/>
        <c:axId val="759157295"/>
      </c:lineChart>
      <c:catAx>
        <c:axId val="75916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157295"/>
        <c:crosses val="autoZero"/>
        <c:auto val="1"/>
        <c:lblAlgn val="ctr"/>
        <c:lblOffset val="100"/>
        <c:noMultiLvlLbl val="0"/>
      </c:catAx>
      <c:valAx>
        <c:axId val="75915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165455"/>
        <c:crosses val="autoZero"/>
        <c:crossBetween val="between"/>
      </c:valAx>
      <c:valAx>
        <c:axId val="759158255"/>
        <c:scaling>
          <c:orientation val="minMax"/>
          <c:min val="600"/>
        </c:scaling>
        <c:delete val="0"/>
        <c:axPos val="r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153455"/>
        <c:crosses val="max"/>
        <c:crossBetween val="between"/>
      </c:valAx>
      <c:catAx>
        <c:axId val="7591534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5915825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1</xdr:row>
      <xdr:rowOff>66675</xdr:rowOff>
    </xdr:from>
    <xdr:to>
      <xdr:col>16</xdr:col>
      <xdr:colOff>323850</xdr:colOff>
      <xdr:row>16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DF905-354B-2F15-F719-96BB54821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514350</xdr:colOff>
      <xdr:row>17</xdr:row>
      <xdr:rowOff>114300</xdr:rowOff>
    </xdr:from>
    <xdr:to>
      <xdr:col>16</xdr:col>
      <xdr:colOff>552450</xdr:colOff>
      <xdr:row>32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5CC994-FA09-E00E-4EC6-6DE86FFA4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533400</xdr:colOff>
      <xdr:row>33</xdr:row>
      <xdr:rowOff>171450</xdr:rowOff>
    </xdr:from>
    <xdr:to>
      <xdr:col>16</xdr:col>
      <xdr:colOff>571500</xdr:colOff>
      <xdr:row>49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62F53A-ED95-D57F-73D0-1D438B973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249196</xdr:colOff>
      <xdr:row>33</xdr:row>
      <xdr:rowOff>85726</xdr:rowOff>
    </xdr:from>
    <xdr:to>
      <xdr:col>24</xdr:col>
      <xdr:colOff>314325</xdr:colOff>
      <xdr:row>49</xdr:row>
      <xdr:rowOff>11587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AF48FED-8CC5-ED30-A665-316F8780C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41221" y="5895976"/>
          <a:ext cx="4599029" cy="2840511"/>
        </a:xfrm>
        <a:prstGeom prst="rect">
          <a:avLst/>
        </a:prstGeom>
      </xdr:spPr>
    </xdr:pic>
    <xdr:clientData/>
  </xdr:twoCellAnchor>
  <xdr:twoCellAnchor editAs="oneCell">
    <xdr:from>
      <xdr:col>17</xdr:col>
      <xdr:colOff>179608</xdr:colOff>
      <xdr:row>17</xdr:row>
      <xdr:rowOff>171450</xdr:rowOff>
    </xdr:from>
    <xdr:to>
      <xdr:col>24</xdr:col>
      <xdr:colOff>371312</xdr:colOff>
      <xdr:row>32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AFCE47-9F6A-F03E-8D6F-AEFE493D2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71633" y="3076575"/>
          <a:ext cx="4720842" cy="2695575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</xdr:colOff>
      <xdr:row>0</xdr:row>
      <xdr:rowOff>171449</xdr:rowOff>
    </xdr:from>
    <xdr:to>
      <xdr:col>24</xdr:col>
      <xdr:colOff>192360</xdr:colOff>
      <xdr:row>16</xdr:row>
      <xdr:rowOff>152210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05D7B-B307-972B-62C5-45A79BF4C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534900" y="171449"/>
          <a:ext cx="4583385" cy="2704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F642-205F-4392-93DF-F23D3CF50951}">
  <dimension ref="A1:H46"/>
  <sheetViews>
    <sheetView showGridLines="0" tabSelected="1" workbookViewId="0"/>
  </sheetViews>
  <sheetFormatPr defaultRowHeight="14.25" x14ac:dyDescent="0.45"/>
  <cols>
    <col min="1" max="1" width="23.19921875" customWidth="1"/>
    <col min="2" max="7" width="9.796875" bestFit="1" customWidth="1"/>
    <col min="8" max="8" width="9.46484375" bestFit="1" customWidth="1"/>
  </cols>
  <sheetData>
    <row r="1" spans="1:8" x14ac:dyDescent="0.45">
      <c r="A1" s="7" t="s">
        <v>12</v>
      </c>
      <c r="B1" s="40">
        <v>300</v>
      </c>
      <c r="C1" s="5" t="s">
        <v>32</v>
      </c>
      <c r="D1" s="39"/>
      <c r="E1" s="9"/>
      <c r="F1" s="8"/>
      <c r="G1" s="8"/>
      <c r="H1" s="10"/>
    </row>
    <row r="2" spans="1:8" ht="14.65" thickBot="1" x14ac:dyDescent="0.5">
      <c r="A2" s="23"/>
      <c r="B2" s="27" t="s">
        <v>5</v>
      </c>
      <c r="C2" s="28" t="s">
        <v>6</v>
      </c>
      <c r="D2" s="27" t="s">
        <v>7</v>
      </c>
      <c r="E2" s="28" t="s">
        <v>8</v>
      </c>
      <c r="F2" s="27" t="s">
        <v>9</v>
      </c>
      <c r="G2" s="27" t="s">
        <v>10</v>
      </c>
      <c r="H2" s="26" t="s">
        <v>11</v>
      </c>
    </row>
    <row r="3" spans="1:8" hidden="1" x14ac:dyDescent="0.45">
      <c r="A3" s="11"/>
      <c r="B3" s="1">
        <v>30</v>
      </c>
      <c r="C3" s="12">
        <v>31</v>
      </c>
      <c r="D3" s="1">
        <v>31</v>
      </c>
      <c r="E3" s="12">
        <v>28</v>
      </c>
      <c r="F3" s="1">
        <v>31</v>
      </c>
      <c r="G3" s="1">
        <v>30</v>
      </c>
      <c r="H3" s="13"/>
    </row>
    <row r="4" spans="1:8" x14ac:dyDescent="0.45">
      <c r="A4" s="11"/>
      <c r="B4" s="1"/>
      <c r="C4" s="12"/>
      <c r="D4" s="1"/>
      <c r="E4" s="12"/>
      <c r="F4" s="1"/>
      <c r="G4" s="1"/>
      <c r="H4" s="13"/>
    </row>
    <row r="5" spans="1:8" x14ac:dyDescent="0.45">
      <c r="A5" s="11"/>
      <c r="B5" s="1"/>
      <c r="C5" s="12"/>
      <c r="D5" s="1"/>
      <c r="E5" s="12"/>
      <c r="F5" s="1"/>
      <c r="G5" s="1"/>
      <c r="H5" s="13"/>
    </row>
    <row r="6" spans="1:8" x14ac:dyDescent="0.45">
      <c r="A6" s="14" t="s">
        <v>0</v>
      </c>
      <c r="B6" s="29">
        <v>2000</v>
      </c>
      <c r="C6" s="30">
        <v>2000</v>
      </c>
      <c r="D6" s="29">
        <v>2000</v>
      </c>
      <c r="E6" s="30">
        <v>2000</v>
      </c>
      <c r="F6" s="29">
        <v>2000</v>
      </c>
      <c r="G6" s="29">
        <v>2000</v>
      </c>
      <c r="H6" s="13"/>
    </row>
    <row r="7" spans="1:8" x14ac:dyDescent="0.45">
      <c r="A7" s="16" t="s">
        <v>4</v>
      </c>
      <c r="B7" s="2">
        <v>3</v>
      </c>
      <c r="C7" s="15">
        <v>2</v>
      </c>
      <c r="D7" s="2">
        <v>1.2</v>
      </c>
      <c r="E7" s="15">
        <v>1</v>
      </c>
      <c r="F7" s="2">
        <v>1.3</v>
      </c>
      <c r="G7" s="2">
        <v>1.2</v>
      </c>
      <c r="H7" s="13"/>
    </row>
    <row r="8" spans="1:8" x14ac:dyDescent="0.45">
      <c r="A8" s="16" t="s">
        <v>33</v>
      </c>
      <c r="B8" s="41">
        <f>B7*B6*B$3</f>
        <v>180000</v>
      </c>
      <c r="C8" s="42">
        <f t="shared" ref="C8:G8" si="0">C7*C6*C$3</f>
        <v>124000</v>
      </c>
      <c r="D8" s="41">
        <f t="shared" si="0"/>
        <v>74400</v>
      </c>
      <c r="E8" s="42">
        <f t="shared" si="0"/>
        <v>56000</v>
      </c>
      <c r="F8" s="41">
        <f t="shared" si="0"/>
        <v>80600</v>
      </c>
      <c r="G8" s="41">
        <f t="shared" si="0"/>
        <v>72000</v>
      </c>
      <c r="H8" s="13"/>
    </row>
    <row r="9" spans="1:8" x14ac:dyDescent="0.45">
      <c r="A9" s="17" t="s">
        <v>1</v>
      </c>
      <c r="B9" s="1"/>
      <c r="C9" s="31">
        <f>(B6*1.4)/2</f>
        <v>1400</v>
      </c>
      <c r="D9" s="32">
        <f>IF(D2=$B$42,$B$43,C9)</f>
        <v>1400</v>
      </c>
      <c r="E9" s="31">
        <f t="shared" ref="E9:G9" si="1">IF(E2=$B$42,$B$43,D9)</f>
        <v>1400</v>
      </c>
      <c r="F9" s="32">
        <f t="shared" si="1"/>
        <v>1400</v>
      </c>
      <c r="G9" s="32">
        <f t="shared" si="1"/>
        <v>600</v>
      </c>
      <c r="H9" s="13"/>
    </row>
    <row r="10" spans="1:8" x14ac:dyDescent="0.45">
      <c r="A10" s="11" t="s">
        <v>4</v>
      </c>
      <c r="B10" s="1"/>
      <c r="C10" s="12">
        <v>1</v>
      </c>
      <c r="D10" s="1">
        <v>1</v>
      </c>
      <c r="E10" s="12">
        <v>1</v>
      </c>
      <c r="F10" s="1">
        <v>1.2</v>
      </c>
      <c r="G10" s="1">
        <v>1.2</v>
      </c>
      <c r="H10" s="13"/>
    </row>
    <row r="11" spans="1:8" x14ac:dyDescent="0.45">
      <c r="A11" s="11" t="s">
        <v>25</v>
      </c>
      <c r="B11" s="43">
        <f t="shared" ref="B11:G11" si="2">B10*B9*B$3</f>
        <v>0</v>
      </c>
      <c r="C11" s="44">
        <f t="shared" si="2"/>
        <v>43400</v>
      </c>
      <c r="D11" s="43">
        <f t="shared" si="2"/>
        <v>43400</v>
      </c>
      <c r="E11" s="44">
        <f t="shared" si="2"/>
        <v>39200</v>
      </c>
      <c r="F11" s="43">
        <f t="shared" si="2"/>
        <v>52080</v>
      </c>
      <c r="G11" s="43">
        <f t="shared" si="2"/>
        <v>21600</v>
      </c>
      <c r="H11" s="13"/>
    </row>
    <row r="12" spans="1:8" x14ac:dyDescent="0.45">
      <c r="A12" s="14" t="s">
        <v>2</v>
      </c>
      <c r="B12" s="2"/>
      <c r="C12" s="30">
        <f>C9</f>
        <v>1400</v>
      </c>
      <c r="D12" s="29">
        <f>IF(C12&lt;=0,0,C12-($C12/$B$41))</f>
        <v>1050</v>
      </c>
      <c r="E12" s="30">
        <f t="shared" ref="E12:F12" si="3">IF(D12&lt;=0,0,D12-($C12/$B$41))</f>
        <v>700</v>
      </c>
      <c r="F12" s="29">
        <f t="shared" si="3"/>
        <v>350</v>
      </c>
      <c r="G12" s="29">
        <f>F9-G9</f>
        <v>800</v>
      </c>
      <c r="H12" s="13"/>
    </row>
    <row r="13" spans="1:8" x14ac:dyDescent="0.45">
      <c r="A13" s="16" t="s">
        <v>4</v>
      </c>
      <c r="B13" s="2"/>
      <c r="C13" s="15">
        <v>1</v>
      </c>
      <c r="D13" s="2">
        <v>1.1000000000000001</v>
      </c>
      <c r="E13" s="15">
        <v>1.1000000000000001</v>
      </c>
      <c r="F13" s="2">
        <v>1.3</v>
      </c>
      <c r="G13" s="2">
        <v>1.3</v>
      </c>
      <c r="H13" s="13"/>
    </row>
    <row r="14" spans="1:8" x14ac:dyDescent="0.45">
      <c r="A14" s="16" t="s">
        <v>26</v>
      </c>
      <c r="B14" s="41">
        <f t="shared" ref="B14:G14" si="4">B13*B12*B$3</f>
        <v>0</v>
      </c>
      <c r="C14" s="42">
        <f t="shared" si="4"/>
        <v>43400</v>
      </c>
      <c r="D14" s="41">
        <f t="shared" si="4"/>
        <v>35805</v>
      </c>
      <c r="E14" s="42">
        <f t="shared" si="4"/>
        <v>21560.000000000004</v>
      </c>
      <c r="F14" s="41">
        <f t="shared" si="4"/>
        <v>14105</v>
      </c>
      <c r="G14" s="41">
        <f t="shared" si="4"/>
        <v>31200</v>
      </c>
      <c r="H14" s="13"/>
    </row>
    <row r="15" spans="1:8" x14ac:dyDescent="0.45">
      <c r="A15" s="11" t="s">
        <v>37</v>
      </c>
      <c r="B15" s="46">
        <f>B14+B11+B8</f>
        <v>180000</v>
      </c>
      <c r="C15" s="47">
        <f t="shared" ref="C15:G15" si="5">C14+C11+C8</f>
        <v>210800</v>
      </c>
      <c r="D15" s="46">
        <f t="shared" si="5"/>
        <v>153605</v>
      </c>
      <c r="E15" s="47">
        <f t="shared" si="5"/>
        <v>116760</v>
      </c>
      <c r="F15" s="46">
        <f t="shared" si="5"/>
        <v>146785</v>
      </c>
      <c r="G15" s="46">
        <f t="shared" si="5"/>
        <v>124800</v>
      </c>
      <c r="H15" s="13"/>
    </row>
    <row r="16" spans="1:8" x14ac:dyDescent="0.45">
      <c r="A16" s="11"/>
      <c r="B16" s="1"/>
      <c r="C16" s="12"/>
      <c r="D16" s="1"/>
      <c r="E16" s="12"/>
      <c r="F16" s="1"/>
      <c r="G16" s="1"/>
      <c r="H16" s="13"/>
    </row>
    <row r="17" spans="1:8" x14ac:dyDescent="0.45">
      <c r="A17" s="17" t="s">
        <v>17</v>
      </c>
      <c r="B17" s="1"/>
      <c r="C17" s="12">
        <f>IF(C2=$B44,($B20/2)+B17,B17)</f>
        <v>0</v>
      </c>
      <c r="D17" s="1">
        <f>IF(D2=$B44,($B20/2)+C17,C17)</f>
        <v>0</v>
      </c>
      <c r="E17" s="12">
        <f>IF(E2=$B44,($B20/2)+D17,D17)</f>
        <v>0</v>
      </c>
      <c r="F17" s="1">
        <f>IF(F2=$B44,($B20/2)+E17,E17)</f>
        <v>0</v>
      </c>
      <c r="G17" s="32">
        <f>IF(G2=$B44,($B20/2)+F17,F17*2)</f>
        <v>100</v>
      </c>
      <c r="H17" s="13"/>
    </row>
    <row r="18" spans="1:8" x14ac:dyDescent="0.45">
      <c r="A18" s="11"/>
      <c r="B18" s="1"/>
      <c r="C18" s="12"/>
      <c r="D18" s="1"/>
      <c r="E18" s="12"/>
      <c r="F18" s="1">
        <v>6.5</v>
      </c>
      <c r="G18" s="1">
        <v>6.5</v>
      </c>
      <c r="H18" s="13"/>
    </row>
    <row r="19" spans="1:8" x14ac:dyDescent="0.45">
      <c r="A19" s="11" t="s">
        <v>28</v>
      </c>
      <c r="B19" s="1">
        <f t="shared" ref="B19" si="6">B18*B17*B$3</f>
        <v>0</v>
      </c>
      <c r="C19" s="12">
        <f t="shared" ref="C19" si="7">C18*C17*C$3</f>
        <v>0</v>
      </c>
      <c r="D19" s="1">
        <f t="shared" ref="D19" si="8">D18*D17*D$3</f>
        <v>0</v>
      </c>
      <c r="E19" s="12">
        <f t="shared" ref="E19" si="9">E18*E17*E$3</f>
        <v>0</v>
      </c>
      <c r="F19" s="1">
        <f t="shared" ref="F19" si="10">F18*F17*F$3</f>
        <v>0</v>
      </c>
      <c r="G19" s="1">
        <f t="shared" ref="G19" si="11">G18*G17*G$3</f>
        <v>19500</v>
      </c>
      <c r="H19" s="13"/>
    </row>
    <row r="20" spans="1:8" x14ac:dyDescent="0.45">
      <c r="A20" s="14" t="s">
        <v>13</v>
      </c>
      <c r="B20" s="33">
        <v>200</v>
      </c>
      <c r="C20" s="34">
        <f>B20-(B20*0.008)</f>
        <v>198.4</v>
      </c>
      <c r="D20" s="33">
        <f t="shared" ref="D20:G20" si="12">C20-(C20*0.008)</f>
        <v>196.81280000000001</v>
      </c>
      <c r="E20" s="34">
        <f t="shared" si="12"/>
        <v>195.23829760000001</v>
      </c>
      <c r="F20" s="33">
        <f t="shared" si="12"/>
        <v>193.67639121920001</v>
      </c>
      <c r="G20" s="33">
        <f t="shared" si="12"/>
        <v>192.12698008944642</v>
      </c>
      <c r="H20" s="13"/>
    </row>
    <row r="21" spans="1:8" x14ac:dyDescent="0.45">
      <c r="A21" s="16" t="s">
        <v>4</v>
      </c>
      <c r="B21" s="2">
        <v>9.1999999999999993</v>
      </c>
      <c r="C21" s="15">
        <v>9.1999999999999993</v>
      </c>
      <c r="D21" s="2">
        <v>9.1</v>
      </c>
      <c r="E21" s="15">
        <v>10</v>
      </c>
      <c r="F21" s="2">
        <v>10.5</v>
      </c>
      <c r="G21" s="2">
        <v>10.5</v>
      </c>
      <c r="H21" s="13"/>
    </row>
    <row r="22" spans="1:8" x14ac:dyDescent="0.45">
      <c r="A22" s="16" t="s">
        <v>27</v>
      </c>
      <c r="B22" s="41">
        <f>B21*B20*B$3</f>
        <v>55199.999999999993</v>
      </c>
      <c r="C22" s="42">
        <f t="shared" ref="C22" si="13">C21*C20*C$3</f>
        <v>56583.68</v>
      </c>
      <c r="D22" s="41">
        <f t="shared" ref="D22" si="14">D21*D20*D$3</f>
        <v>55520.890879999999</v>
      </c>
      <c r="E22" s="42">
        <f t="shared" ref="E22" si="15">E21*E20*E$3</f>
        <v>54666.723328</v>
      </c>
      <c r="F22" s="41">
        <f t="shared" ref="F22" si="16">F21*F20*F$3</f>
        <v>63041.665341849606</v>
      </c>
      <c r="G22" s="41">
        <f t="shared" ref="G22" si="17">G21*G20*G$3</f>
        <v>60519.998728175626</v>
      </c>
      <c r="H22" s="13"/>
    </row>
    <row r="23" spans="1:8" x14ac:dyDescent="0.45">
      <c r="A23" s="17" t="s">
        <v>3</v>
      </c>
      <c r="B23" s="35">
        <f>G20/4</f>
        <v>48.031745022361605</v>
      </c>
      <c r="C23" s="36">
        <f>B23/3</f>
        <v>16.010581674120534</v>
      </c>
      <c r="D23" s="1"/>
      <c r="E23" s="12"/>
      <c r="F23" s="1"/>
      <c r="G23" s="1"/>
      <c r="H23" s="13"/>
    </row>
    <row r="24" spans="1:8" x14ac:dyDescent="0.45">
      <c r="A24" s="11"/>
      <c r="B24" s="1">
        <v>14</v>
      </c>
      <c r="C24" s="12">
        <v>15</v>
      </c>
      <c r="D24" s="1"/>
      <c r="E24" s="12"/>
      <c r="F24" s="1"/>
      <c r="G24" s="1"/>
      <c r="H24" s="13"/>
    </row>
    <row r="25" spans="1:8" x14ac:dyDescent="0.45">
      <c r="A25" s="11" t="s">
        <v>29</v>
      </c>
      <c r="B25" s="43">
        <f>B24*B23*B$3</f>
        <v>20173.332909391873</v>
      </c>
      <c r="C25" s="44">
        <f t="shared" ref="C25" si="18">C24*C23*C$3</f>
        <v>7444.9204784660478</v>
      </c>
      <c r="D25" s="43">
        <f t="shared" ref="D25" si="19">D24*D23*D$3</f>
        <v>0</v>
      </c>
      <c r="E25" s="44">
        <f t="shared" ref="E25" si="20">E24*E23*E$3</f>
        <v>0</v>
      </c>
      <c r="F25" s="43">
        <f t="shared" ref="F25" si="21">F24*F23*F$3</f>
        <v>0</v>
      </c>
      <c r="G25" s="43">
        <f t="shared" ref="G25" si="22">G24*G23*G$3</f>
        <v>0</v>
      </c>
      <c r="H25" s="13"/>
    </row>
    <row r="26" spans="1:8" x14ac:dyDescent="0.45">
      <c r="A26" s="11" t="s">
        <v>38</v>
      </c>
      <c r="B26" s="46">
        <f>B25+B22+B19</f>
        <v>75373.332909391873</v>
      </c>
      <c r="C26" s="46">
        <f t="shared" ref="C26:G26" si="23">C25+C22+C19</f>
        <v>64028.600478466047</v>
      </c>
      <c r="D26" s="46">
        <f t="shared" si="23"/>
        <v>55520.890879999999</v>
      </c>
      <c r="E26" s="46">
        <f t="shared" si="23"/>
        <v>54666.723328</v>
      </c>
      <c r="F26" s="46">
        <f t="shared" si="23"/>
        <v>63041.665341849606</v>
      </c>
      <c r="G26" s="46">
        <f t="shared" si="23"/>
        <v>80019.998728175618</v>
      </c>
      <c r="H26" s="13"/>
    </row>
    <row r="27" spans="1:8" x14ac:dyDescent="0.45">
      <c r="A27" s="11"/>
      <c r="B27" s="43"/>
      <c r="C27" s="44"/>
      <c r="D27" s="43"/>
      <c r="E27" s="44"/>
      <c r="F27" s="43"/>
      <c r="G27" s="43"/>
      <c r="H27" s="13"/>
    </row>
    <row r="28" spans="1:8" ht="14.65" thickBot="1" x14ac:dyDescent="0.5">
      <c r="A28" s="18" t="s">
        <v>14</v>
      </c>
      <c r="B28" s="48">
        <f>B25+B22+B14+B11+B8+B19</f>
        <v>255373.33290939187</v>
      </c>
      <c r="C28" s="49">
        <f>C25+C22+C14+C11+C8+C19</f>
        <v>274828.60047846602</v>
      </c>
      <c r="D28" s="48">
        <f t="shared" ref="C28:G28" si="24">D25+D22+D14+D11+D8+D19</f>
        <v>209125.89087999999</v>
      </c>
      <c r="E28" s="49">
        <f t="shared" si="24"/>
        <v>171426.72332799999</v>
      </c>
      <c r="F28" s="48">
        <f t="shared" si="24"/>
        <v>209826.66534184961</v>
      </c>
      <c r="G28" s="48">
        <f t="shared" si="24"/>
        <v>204819.99872817562</v>
      </c>
      <c r="H28" s="13"/>
    </row>
    <row r="29" spans="1:8" x14ac:dyDescent="0.45">
      <c r="A29" s="11"/>
      <c r="B29" s="1"/>
      <c r="C29" s="12"/>
      <c r="D29" s="1"/>
      <c r="E29" s="12"/>
      <c r="F29" s="1"/>
      <c r="G29" s="1"/>
      <c r="H29" s="13"/>
    </row>
    <row r="30" spans="1:8" x14ac:dyDescent="0.45">
      <c r="A30" s="11" t="s">
        <v>18</v>
      </c>
      <c r="B30" s="1">
        <v>1700</v>
      </c>
      <c r="C30" s="12"/>
      <c r="D30" s="1"/>
      <c r="E30" s="12"/>
      <c r="F30" s="1"/>
      <c r="G30" s="1"/>
      <c r="H30" s="13"/>
    </row>
    <row r="31" spans="1:8" x14ac:dyDescent="0.45">
      <c r="A31" s="19" t="s">
        <v>20</v>
      </c>
      <c r="B31" s="3">
        <v>35</v>
      </c>
      <c r="C31" s="20">
        <v>30</v>
      </c>
      <c r="D31" s="3">
        <v>25</v>
      </c>
      <c r="E31" s="20">
        <v>18</v>
      </c>
      <c r="F31" s="3">
        <v>22</v>
      </c>
      <c r="G31" s="3">
        <v>20</v>
      </c>
      <c r="H31" s="13"/>
    </row>
    <row r="32" spans="1:8" x14ac:dyDescent="0.45">
      <c r="A32" s="21" t="s">
        <v>21</v>
      </c>
      <c r="B32" s="4">
        <v>19</v>
      </c>
      <c r="C32" s="22">
        <v>16.5</v>
      </c>
      <c r="D32" s="6">
        <v>20</v>
      </c>
      <c r="E32" s="20">
        <f>E31</f>
        <v>18</v>
      </c>
      <c r="F32" s="3">
        <f t="shared" ref="F32:G32" si="25">F31</f>
        <v>22</v>
      </c>
      <c r="G32" s="3">
        <f t="shared" si="25"/>
        <v>20</v>
      </c>
      <c r="H32" s="13"/>
    </row>
    <row r="33" spans="1:8" x14ac:dyDescent="0.45">
      <c r="A33" s="11"/>
      <c r="B33" s="1"/>
      <c r="C33" s="12"/>
      <c r="D33" s="1"/>
      <c r="E33" s="12"/>
      <c r="F33" s="1"/>
      <c r="G33" s="1"/>
      <c r="H33" s="13"/>
    </row>
    <row r="34" spans="1:8" ht="14.65" thickBot="1" x14ac:dyDescent="0.5">
      <c r="A34" s="17" t="s">
        <v>15</v>
      </c>
      <c r="B34" s="50">
        <f>IF($B40="yes",B32*B3*$B$1,B31*B3*$B$1)</f>
        <v>315000</v>
      </c>
      <c r="C34" s="51">
        <f>IF($B40="yes",C32*C3*$B$1,C31*C3*$B$1)</f>
        <v>279000</v>
      </c>
      <c r="D34" s="50">
        <f>IF($B40="yes",D32*D3*$B$1,D31*D3*$B$1)</f>
        <v>232500</v>
      </c>
      <c r="E34" s="51">
        <f>IF($B40="yes",E32*E3*$B$1,E31*E3*$B$1)</f>
        <v>151200</v>
      </c>
      <c r="F34" s="50">
        <f>IF($B40="yes",F32*F3*$B$1,F31*F3*$B$1)</f>
        <v>204600</v>
      </c>
      <c r="G34" s="50">
        <f>IF($B40="yes",G32*G3*$B$1,G31*G3*$B$1)</f>
        <v>180000</v>
      </c>
      <c r="H34" s="13"/>
    </row>
    <row r="35" spans="1:8" x14ac:dyDescent="0.45">
      <c r="A35" s="11" t="s">
        <v>34</v>
      </c>
      <c r="B35" s="1"/>
      <c r="C35" s="12"/>
      <c r="D35" s="1">
        <f>IF($B45="yes",20,0)</f>
        <v>0</v>
      </c>
      <c r="E35" s="12">
        <f>IF($B45="yes",50,0)</f>
        <v>0</v>
      </c>
      <c r="F35" s="1">
        <f>IF($B45="yes",50,0)</f>
        <v>0</v>
      </c>
      <c r="G35" s="1">
        <f>IF($B45="yes",0,0)</f>
        <v>0</v>
      </c>
      <c r="H35" s="13">
        <f>SUM(C35:G35)</f>
        <v>0</v>
      </c>
    </row>
    <row r="36" spans="1:8" ht="14.65" thickBot="1" x14ac:dyDescent="0.5">
      <c r="A36" s="23" t="s">
        <v>16</v>
      </c>
      <c r="B36" s="24">
        <f>((B34-B28)/B1)+B30</f>
        <v>1898.7555569686938</v>
      </c>
      <c r="C36" s="25">
        <f>((C34-C28)/$B$1)+B36+(C35*1000)</f>
        <v>1912.6602220404736</v>
      </c>
      <c r="D36" s="24">
        <f>((D34-D28)/$B$1)+C36+((D35*1000)/$B$1)</f>
        <v>1990.5739191071402</v>
      </c>
      <c r="E36" s="25">
        <f t="shared" ref="E36:G36" si="26">((E34-E28)/$B$1)+D36+((E35*1000)/$B$1)</f>
        <v>1923.151508013807</v>
      </c>
      <c r="F36" s="24">
        <f t="shared" si="26"/>
        <v>1905.7292902076415</v>
      </c>
      <c r="G36" s="24">
        <f t="shared" si="26"/>
        <v>1822.9959611137228</v>
      </c>
      <c r="H36" s="26"/>
    </row>
    <row r="37" spans="1:8" x14ac:dyDescent="0.45">
      <c r="H37" s="45">
        <f>H35*B46*1000</f>
        <v>0</v>
      </c>
    </row>
    <row r="40" spans="1:8" x14ac:dyDescent="0.45">
      <c r="A40" t="s">
        <v>19</v>
      </c>
      <c r="B40" s="37" t="s">
        <v>31</v>
      </c>
    </row>
    <row r="41" spans="1:8" x14ac:dyDescent="0.45">
      <c r="A41" t="s">
        <v>22</v>
      </c>
      <c r="B41" s="37">
        <v>4</v>
      </c>
    </row>
    <row r="42" spans="1:8" x14ac:dyDescent="0.45">
      <c r="A42" t="s">
        <v>23</v>
      </c>
      <c r="B42" s="37" t="s">
        <v>10</v>
      </c>
    </row>
    <row r="43" spans="1:8" x14ac:dyDescent="0.45">
      <c r="A43" t="s">
        <v>24</v>
      </c>
      <c r="B43" s="38">
        <v>600</v>
      </c>
    </row>
    <row r="44" spans="1:8" x14ac:dyDescent="0.45">
      <c r="A44" t="s">
        <v>30</v>
      </c>
      <c r="B44" s="38" t="s">
        <v>10</v>
      </c>
    </row>
    <row r="45" spans="1:8" x14ac:dyDescent="0.45">
      <c r="A45" t="s">
        <v>36</v>
      </c>
      <c r="B45" s="37" t="s">
        <v>31</v>
      </c>
    </row>
    <row r="46" spans="1:8" x14ac:dyDescent="0.45">
      <c r="A46" t="s">
        <v>35</v>
      </c>
      <c r="B46">
        <v>0.65</v>
      </c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92DE06A45BEE4C91FE9175C3DD5A3A" ma:contentTypeVersion="14" ma:contentTypeDescription="Create a new document." ma:contentTypeScope="" ma:versionID="7a1e52a838e8bf3278ed03f2fba5c885">
  <xsd:schema xmlns:xsd="http://www.w3.org/2001/XMLSchema" xmlns:xs="http://www.w3.org/2001/XMLSchema" xmlns:p="http://schemas.microsoft.com/office/2006/metadata/properties" xmlns:ns2="7015cec3-e1ed-4b2b-af85-4c2f8fec73c8" xmlns:ns3="d7d30665-d65b-4c66-8540-6c4df0124aeb" targetNamespace="http://schemas.microsoft.com/office/2006/metadata/properties" ma:root="true" ma:fieldsID="d7078fb2c89bdb722d2818f1150b2c3e" ns2:_="" ns3:_="">
    <xsd:import namespace="7015cec3-e1ed-4b2b-af85-4c2f8fec73c8"/>
    <xsd:import namespace="d7d30665-d65b-4c66-8540-6c4df0124a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5cec3-e1ed-4b2b-af85-4c2f8fec7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016a2a6-619d-4f0d-8e2a-4fcfbf8ec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30665-d65b-4c66-8540-6c4df0124a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a0f153-6a3b-438a-b54b-24e0240daf13}" ma:internalName="TaxCatchAll" ma:showField="CatchAllData" ma:web="d7d30665-d65b-4c66-8540-6c4df0124a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d30665-d65b-4c66-8540-6c4df0124aeb" xsi:nil="true"/>
    <lcf76f155ced4ddcb4097134ff3c332f xmlns="7015cec3-e1ed-4b2b-af85-4c2f8fec73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EE3E70-18E2-4A49-90EA-3283EFF87B1F}"/>
</file>

<file path=customXml/itemProps2.xml><?xml version="1.0" encoding="utf-8"?>
<ds:datastoreItem xmlns:ds="http://schemas.openxmlformats.org/officeDocument/2006/customXml" ds:itemID="{2122E380-4BD1-44E5-8EB2-4349DCB01351}"/>
</file>

<file path=customXml/itemProps3.xml><?xml version="1.0" encoding="utf-8"?>
<ds:datastoreItem xmlns:ds="http://schemas.openxmlformats.org/officeDocument/2006/customXml" ds:itemID="{D5BD36F1-66A8-4633-8E52-3FC3109B02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Lochie MacGillivray</dc:creator>
  <cp:lastModifiedBy>Lochie MacGillivray</cp:lastModifiedBy>
  <dcterms:created xsi:type="dcterms:W3CDTF">2025-11-11T01:45:18Z</dcterms:created>
  <dcterms:modified xsi:type="dcterms:W3CDTF">2025-11-11T03:59:01Z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0x010100C492DE06A45BEE4C91FE9175C3DD5A3A</vt:lpwstr>
  </property>
</Properties>
</file>